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<sst xmlns="http://schemas.openxmlformats.org/spreadsheetml/2006/main" count="891" uniqueCount="178">
  <si>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</si>
  <si>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</si>
  <si>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</si>
  <si>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</si>
  <si>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</si>
  <si>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</si>
  <si>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</si>
  <si>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</si>
  <si>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</si>
  <si>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</si>
  <si>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</si>
  <si>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</si>
  <si>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</si>
  <si>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</si>
  <si>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</si>
  <si>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</si>
  <si>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</si>
  <si>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</si>
  <si>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</si>
  <si>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</si>
  <si>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</si>
  <si>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</si>
  <si>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</si>
  <si>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</si>
  <si>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</si>
  <si>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</si>
  <si>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</si>
  <si>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</si>
  <si>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</si>
  <si>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</si>
  <si>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</si>
  <si>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</si>
  <si>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</si>
  <si>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</si>
  <si>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</si>
  <si>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</si>
  <si>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</si>
  <si>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</si>
  <si>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</si>
  <si>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</si>
  <si>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</si>
  <si>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</si>
  <si>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</si>
  <si>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</si>
  <si>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</si>
  <si>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</si>
  <si>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</si>
  <si>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</si>
  <si>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</si>
  <si>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</si>
  <si>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</si>
  <si>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</si>
  <si>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</si>
  <si>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</si>
  <si>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</si>
  <si>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</si>
  <si>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</si>
  <si>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</si>
  <si>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</si>
  <si>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</si>
  <si>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</si>
  <si>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</si>
  <si>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</si>
  <si>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</si>
  <si>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</si>
  <si>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</si>
  <si>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</si>
  <si>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</si>
  <si>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</si>
  <si>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</si>
  <si>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</si>
  <si>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</si>
  <si>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</si>
  <si>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</si>
  <si>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</si>
  <si>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</si>
  <si>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</si>
  <si>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</si>
  <si>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</si>
  <si>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</si>
  <si>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</si>
  <si>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</si>
  <si>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</si>
  <si>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</si>
  <si>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</si>
  <si>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</si>
  <si>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</si>
  <si>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</si>
  <si>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</si>
  <si>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</si>
  <si>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</si>
  <si>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</si>
  <si>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</si>
  <si>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</si>
  <si>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</si>
  <si>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</si>
  <si>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</si>
  <si>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</si>
  <si>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</si>
  <si>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</si>
  <si>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</si>
  <si>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</si>
  <si>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</si>
  <si>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</si>
  <si>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</si>
  <si>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</si>
  <si>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</si>
  <si>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</si>
  <si>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</si>
  <si>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</si>
  <si>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</si>
  <si>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</si>
  <si>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</si>
  <si>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</si>
  <si>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</si>
  <si>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</si>
  <si>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</si>
  <si>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</si>
  <si>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</si>
  <si>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</si>
  <si>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</si>
  <si>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</si>
  <si>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</si>
  <si>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</si>
  <si>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</si>
  <si>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</si>
  <si>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</si>
  <si>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</si>
  <si>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</si>
  <si>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</si>
  <si>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</si>
  <si>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</si>
  <si>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</si>
  <si>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</si>
  <si>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</si>
  <si>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</si>
  <si>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</si>
  <si>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</si>
  <si>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</si>
  <si>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</si>
  <si>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</si>
  <si>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</si>
  <si>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</si>
  <si>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</si>
  <si>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</si>
  <si>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</si>
  <si>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</si>
  <si>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</si>
  <si>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</si>
  <si>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</si>
  <si>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</si>
  <si>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</si>
  <si>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</si>
  <si>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</si>
  <si>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</si>
  <si>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</si>
  <si>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</si>
  <si>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</si>
  <si>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</si>
  <si>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</si>
  <si>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</si>
  <si>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</si>
  <si>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</si>
  <si>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</si>
  <si>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</si>
  <si>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</si>
  <si>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</si>
  <si>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</si>
  <si>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</si>
  <si>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</si>
  <si>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</si>
  <si>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</si>
  <si>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</si>
  <si>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</si>
  <si>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</si>
  <si>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</si>
  <si>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17.06.2016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</si>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</sst>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176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172</v>
      </c>
      <c r="N3" s="261" t="s">
        <v>173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170</v>
      </c>
      <c r="F4" s="264" t="s">
        <v>34</v>
      </c>
      <c r="G4" s="266" t="s">
        <v>171</v>
      </c>
      <c r="H4" s="259" t="s">
        <v>175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177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174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406904.97</v>
      </c>
      <c r="G8" s="191">
        <f aca="true" t="shared" si="0" ref="G8:G36">F8-E8</f>
        <v>-13330.809999999998</v>
      </c>
      <c r="H8" s="192">
        <f>F8/E8*100</f>
        <v>96.827778443806</v>
      </c>
      <c r="I8" s="193">
        <f>F8-D8</f>
        <v>-434145.03</v>
      </c>
      <c r="J8" s="193">
        <f>F8/D8*100</f>
        <v>48.38059211699661</v>
      </c>
      <c r="K8" s="191">
        <f>F8-305119.12</f>
        <v>101785.84999999998</v>
      </c>
      <c r="L8" s="191">
        <f>F8/305119.12*100</f>
        <v>133.35938108368956</v>
      </c>
      <c r="M8" s="191">
        <f>M9+M15+M18+M19+M20+M17</f>
        <v>67799.29999999999</v>
      </c>
      <c r="N8" s="191">
        <f>N9+N15+N18+N19+N20+N17</f>
        <v>31910.020000000033</v>
      </c>
      <c r="O8" s="191">
        <f>N8-M8</f>
        <v>-35889.279999999955</v>
      </c>
      <c r="P8" s="191">
        <f>N8/M8*100</f>
        <v>47.065412179771826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225031.3</v>
      </c>
      <c r="G9" s="190">
        <f t="shared" si="0"/>
        <v>1127.0299999999988</v>
      </c>
      <c r="H9" s="197">
        <f>F9/E9*100</f>
        <v>100.50335350906884</v>
      </c>
      <c r="I9" s="198">
        <f>F9-D9</f>
        <v>-234668.7</v>
      </c>
      <c r="J9" s="198">
        <f>F9/D9*100</f>
        <v>48.95177289536654</v>
      </c>
      <c r="K9" s="199">
        <f>F9-171379.72</f>
        <v>53651.57999999999</v>
      </c>
      <c r="L9" s="199">
        <f>F9/171379.72*100</f>
        <v>131.30567607415858</v>
      </c>
      <c r="M9" s="197">
        <f>E9-травень!E9</f>
        <v>41002</v>
      </c>
      <c r="N9" s="200">
        <f>F9-травень!F9</f>
        <v>25930.379999999976</v>
      </c>
      <c r="O9" s="201">
        <f>N9-M9</f>
        <v>-15071.620000000024</v>
      </c>
      <c r="P9" s="198">
        <f>N9/M9*100</f>
        <v>63.24174430515579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197796.32</v>
      </c>
      <c r="G10" s="109">
        <f t="shared" si="0"/>
        <v>-1499.5199999999895</v>
      </c>
      <c r="H10" s="32">
        <f aca="true" t="shared" si="1" ref="H10:H35">F10/E10*100</f>
        <v>99.24759091810446</v>
      </c>
      <c r="I10" s="110">
        <f aca="true" t="shared" si="2" ref="I10:I36">F10-D10</f>
        <v>-213643.68</v>
      </c>
      <c r="J10" s="110">
        <f aca="true" t="shared" si="3" ref="J10:J35">F10/D10*100</f>
        <v>48.07415905113747</v>
      </c>
      <c r="K10" s="112">
        <f>F10-152226.9</f>
        <v>45569.42000000001</v>
      </c>
      <c r="L10" s="112">
        <f>F10/152226.9*100</f>
        <v>129.93519542209688</v>
      </c>
      <c r="M10" s="111">
        <f>E10-травень!E10</f>
        <v>37450</v>
      </c>
      <c r="N10" s="179">
        <f>F10-травень!F10</f>
        <v>23627.99000000002</v>
      </c>
      <c r="O10" s="112">
        <f aca="true" t="shared" si="4" ref="O10:O36">N10-M10</f>
        <v>-13822.00999999998</v>
      </c>
      <c r="P10" s="198">
        <f aca="true" t="shared" si="5" ref="P10:P16">N10/M10*100</f>
        <v>63.09209612817095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15896.58</v>
      </c>
      <c r="G11" s="109">
        <f t="shared" si="0"/>
        <v>1731.6399999999994</v>
      </c>
      <c r="H11" s="32">
        <f t="shared" si="1"/>
        <v>112.2248311676576</v>
      </c>
      <c r="I11" s="110">
        <f t="shared" si="2"/>
        <v>-7103.42</v>
      </c>
      <c r="J11" s="110">
        <f t="shared" si="3"/>
        <v>69.1155652173913</v>
      </c>
      <c r="K11" s="112">
        <f>F11-9213.1</f>
        <v>6683.48</v>
      </c>
      <c r="L11" s="112">
        <f>F11/9213.1*100</f>
        <v>172.54322649271145</v>
      </c>
      <c r="M11" s="111">
        <f>E11-травень!E11</f>
        <v>1600</v>
      </c>
      <c r="N11" s="179">
        <f>F11-травень!F11</f>
        <v>1217.33</v>
      </c>
      <c r="O11" s="112">
        <f t="shared" si="4"/>
        <v>-382.6700000000001</v>
      </c>
      <c r="P11" s="198">
        <f t="shared" si="5"/>
        <v>76.083125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4934.26</v>
      </c>
      <c r="G12" s="109">
        <f t="shared" si="0"/>
        <v>2213.65</v>
      </c>
      <c r="H12" s="32">
        <f t="shared" si="1"/>
        <v>181.36594366704526</v>
      </c>
      <c r="I12" s="110">
        <f t="shared" si="2"/>
        <v>-1565.7399999999998</v>
      </c>
      <c r="J12" s="110">
        <f t="shared" si="3"/>
        <v>75.91169230769232</v>
      </c>
      <c r="K12" s="112">
        <f>F12-2592.53</f>
        <v>2341.73</v>
      </c>
      <c r="L12" s="112">
        <f>F12/2592.53*100</f>
        <v>190.32605215754495</v>
      </c>
      <c r="M12" s="111">
        <f>E12-травень!E12</f>
        <v>500</v>
      </c>
      <c r="N12" s="179">
        <f>F12-травень!F12</f>
        <v>351.03000000000065</v>
      </c>
      <c r="O12" s="112">
        <f t="shared" si="4"/>
        <v>-148.96999999999935</v>
      </c>
      <c r="P12" s="198">
        <f t="shared" si="5"/>
        <v>70.20600000000013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4006.34</v>
      </c>
      <c r="G13" s="109">
        <f t="shared" si="0"/>
        <v>-578.5</v>
      </c>
      <c r="H13" s="32">
        <f t="shared" si="1"/>
        <v>87.38232959056369</v>
      </c>
      <c r="I13" s="110">
        <f t="shared" si="2"/>
        <v>-8393.66</v>
      </c>
      <c r="J13" s="110">
        <f t="shared" si="3"/>
        <v>32.3091935483871</v>
      </c>
      <c r="K13" s="112">
        <f>F13-2783.41</f>
        <v>1222.9300000000003</v>
      </c>
      <c r="L13" s="112">
        <f>F13/2783.41*100</f>
        <v>143.93639456637723</v>
      </c>
      <c r="M13" s="111">
        <f>E13-травень!E13</f>
        <v>820</v>
      </c>
      <c r="N13" s="179">
        <f>F13-травень!F13</f>
        <v>242.9000000000001</v>
      </c>
      <c r="O13" s="112">
        <f t="shared" si="4"/>
        <v>-577.0999999999999</v>
      </c>
      <c r="P13" s="198">
        <f t="shared" si="5"/>
        <v>29.621951219512205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2397.8</v>
      </c>
      <c r="G14" s="109">
        <f t="shared" si="0"/>
        <v>-740.2399999999998</v>
      </c>
      <c r="H14" s="32">
        <f t="shared" si="1"/>
        <v>76.41075320900946</v>
      </c>
      <c r="I14" s="110">
        <f t="shared" si="2"/>
        <v>-3962.2</v>
      </c>
      <c r="J14" s="110">
        <f t="shared" si="3"/>
        <v>37.70125786163522</v>
      </c>
      <c r="K14" s="112">
        <f>F14-4563.77</f>
        <v>-2165.9700000000003</v>
      </c>
      <c r="L14" s="112">
        <f>F14/4563.77*100</f>
        <v>52.539895744088774</v>
      </c>
      <c r="M14" s="111">
        <f>E14-травень!E14</f>
        <v>632</v>
      </c>
      <c r="N14" s="179">
        <f>F14-травень!F14</f>
        <v>491.1200000000001</v>
      </c>
      <c r="O14" s="112">
        <f t="shared" si="4"/>
        <v>-140.87999999999988</v>
      </c>
      <c r="P14" s="198">
        <f t="shared" si="5"/>
        <v>77.70886075949369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35805.55</v>
      </c>
      <c r="G19" s="190">
        <f t="shared" si="0"/>
        <v>-12054.849999999999</v>
      </c>
      <c r="H19" s="197">
        <f t="shared" si="1"/>
        <v>74.8124754494321</v>
      </c>
      <c r="I19" s="198">
        <f t="shared" si="2"/>
        <v>-74094.45</v>
      </c>
      <c r="J19" s="198">
        <f t="shared" si="3"/>
        <v>32.58011828935396</v>
      </c>
      <c r="K19" s="209">
        <f>F19-30116.49</f>
        <v>5689.060000000001</v>
      </c>
      <c r="L19" s="209">
        <f>F19/30116.49*100</f>
        <v>118.89018275370071</v>
      </c>
      <c r="M19" s="197">
        <f>E19-травень!E19</f>
        <v>9800</v>
      </c>
      <c r="N19" s="200">
        <f>F19-травень!F19</f>
        <v>574.9900000000052</v>
      </c>
      <c r="O19" s="201">
        <f t="shared" si="4"/>
        <v>-9225.009999999995</v>
      </c>
      <c r="P19" s="198">
        <f aca="true" t="shared" si="6" ref="P19:P24">N19/M19*100</f>
        <v>5.867244897959237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145652.91000000003</v>
      </c>
      <c r="G20" s="190">
        <f t="shared" si="0"/>
        <v>-2568.1999999999534</v>
      </c>
      <c r="H20" s="197">
        <f t="shared" si="1"/>
        <v>98.26731833272605</v>
      </c>
      <c r="I20" s="198">
        <f t="shared" si="2"/>
        <v>-125287.08999999997</v>
      </c>
      <c r="J20" s="198">
        <f t="shared" si="3"/>
        <v>53.7583634753082</v>
      </c>
      <c r="K20" s="198">
        <f>F20-100444.36</f>
        <v>45208.55000000003</v>
      </c>
      <c r="L20" s="198">
        <f>F20/100444.36*100</f>
        <v>145.0085500071881</v>
      </c>
      <c r="M20" s="197">
        <f>M21+M29+M30+M31</f>
        <v>16992.299999999985</v>
      </c>
      <c r="N20" s="200">
        <f>F20-травень!F20</f>
        <v>5404.650000000052</v>
      </c>
      <c r="O20" s="201">
        <f t="shared" si="4"/>
        <v>-11587.649999999932</v>
      </c>
      <c r="P20" s="198">
        <f t="shared" si="6"/>
        <v>31.806465281333647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74474.86</v>
      </c>
      <c r="G21" s="190">
        <f t="shared" si="0"/>
        <v>-3668.5</v>
      </c>
      <c r="H21" s="197">
        <f t="shared" si="1"/>
        <v>95.30542326308978</v>
      </c>
      <c r="I21" s="198">
        <f t="shared" si="2"/>
        <v>-86925.14</v>
      </c>
      <c r="J21" s="198">
        <f t="shared" si="3"/>
        <v>46.143035935563816</v>
      </c>
      <c r="K21" s="198">
        <f>F21-54757.32</f>
        <v>19717.54</v>
      </c>
      <c r="L21" s="198">
        <f>F21/54757.32*100</f>
        <v>136.00895734122852</v>
      </c>
      <c r="M21" s="197">
        <f>M22+M25+M26</f>
        <v>13047.099999999999</v>
      </c>
      <c r="N21" s="200">
        <f>F21-травень!F21</f>
        <v>2934.720000000001</v>
      </c>
      <c r="O21" s="201">
        <f t="shared" si="4"/>
        <v>-10112.379999999997</v>
      </c>
      <c r="P21" s="198">
        <f t="shared" si="6"/>
        <v>22.493274367483973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8780.58</v>
      </c>
      <c r="G22" s="212">
        <f t="shared" si="0"/>
        <v>168.97999999999956</v>
      </c>
      <c r="H22" s="214">
        <f t="shared" si="1"/>
        <v>101.96223698267453</v>
      </c>
      <c r="I22" s="215">
        <f t="shared" si="2"/>
        <v>-9719.42</v>
      </c>
      <c r="J22" s="215">
        <f t="shared" si="3"/>
        <v>47.46259459459459</v>
      </c>
      <c r="K22" s="216">
        <f>F22-4957.1</f>
        <v>3823.4799999999996</v>
      </c>
      <c r="L22" s="216">
        <f>F22/4957.1*100</f>
        <v>177.13138730306025</v>
      </c>
      <c r="M22" s="214">
        <f>E22-травень!E22</f>
        <v>240</v>
      </c>
      <c r="N22" s="217">
        <f>F22-травень!F22</f>
        <v>140.4300000000003</v>
      </c>
      <c r="O22" s="218">
        <f t="shared" si="4"/>
        <v>-99.56999999999971</v>
      </c>
      <c r="P22" s="215">
        <f t="shared" si="6"/>
        <v>58.512500000000124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271.63</v>
      </c>
      <c r="G23" s="241">
        <f t="shared" si="0"/>
        <v>-117.47000000000003</v>
      </c>
      <c r="H23" s="242">
        <f t="shared" si="1"/>
        <v>69.80981752762784</v>
      </c>
      <c r="I23" s="243">
        <f t="shared" si="2"/>
        <v>-1728.37</v>
      </c>
      <c r="J23" s="243">
        <f t="shared" si="3"/>
        <v>13.581499999999998</v>
      </c>
      <c r="K23" s="244">
        <f>F23-284.18</f>
        <v>-12.550000000000011</v>
      </c>
      <c r="L23" s="244">
        <f>F23/284.18*100</f>
        <v>95.5837849250475</v>
      </c>
      <c r="M23" s="239">
        <f>E23-травень!E23</f>
        <v>40</v>
      </c>
      <c r="N23" s="239">
        <f>F23-травень!F23</f>
        <v>7.980000000000018</v>
      </c>
      <c r="O23" s="240">
        <f t="shared" si="4"/>
        <v>-32.01999999999998</v>
      </c>
      <c r="P23" s="240">
        <f t="shared" si="6"/>
        <v>19.950000000000045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8508.95</v>
      </c>
      <c r="G24" s="241">
        <f t="shared" si="0"/>
        <v>286.4500000000007</v>
      </c>
      <c r="H24" s="242">
        <f t="shared" si="1"/>
        <v>103.48373365764671</v>
      </c>
      <c r="I24" s="243">
        <f t="shared" si="2"/>
        <v>-7991.049999999999</v>
      </c>
      <c r="J24" s="243">
        <f t="shared" si="3"/>
        <v>51.56939393939395</v>
      </c>
      <c r="K24" s="244">
        <f>F24-4672.92</f>
        <v>3836.0300000000007</v>
      </c>
      <c r="L24" s="244">
        <f>F24/4672.92*100</f>
        <v>182.09064139767</v>
      </c>
      <c r="M24" s="239">
        <f>E24-травень!E24</f>
        <v>200</v>
      </c>
      <c r="N24" s="239">
        <f>F24-травень!F24</f>
        <v>132.45000000000073</v>
      </c>
      <c r="O24" s="240">
        <f t="shared" si="4"/>
        <v>-67.54999999999927</v>
      </c>
      <c r="P24" s="240">
        <f t="shared" si="6"/>
        <v>66.22500000000036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426.33</v>
      </c>
      <c r="G25" s="212">
        <f t="shared" si="0"/>
        <v>149.49</v>
      </c>
      <c r="H25" s="214">
        <f t="shared" si="1"/>
        <v>153.99869960988298</v>
      </c>
      <c r="I25" s="215">
        <f t="shared" si="2"/>
        <v>-2373.67</v>
      </c>
      <c r="J25" s="215">
        <f t="shared" si="3"/>
        <v>15.226071428571428</v>
      </c>
      <c r="K25" s="215">
        <f>F25-210.68</f>
        <v>215.64999999999998</v>
      </c>
      <c r="L25" s="215">
        <f>F25/210.68*100</f>
        <v>202.35902790962595</v>
      </c>
      <c r="M25" s="214">
        <f>E25-травень!E25</f>
        <v>0</v>
      </c>
      <c r="N25" s="217">
        <f>F25-травень!F25</f>
        <v>6.25</v>
      </c>
      <c r="O25" s="218">
        <f t="shared" si="4"/>
        <v>6.25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65267.95</v>
      </c>
      <c r="G26" s="212">
        <f t="shared" si="0"/>
        <v>-3986.970000000001</v>
      </c>
      <c r="H26" s="214">
        <f t="shared" si="1"/>
        <v>94.24305161279516</v>
      </c>
      <c r="I26" s="215">
        <f t="shared" si="2"/>
        <v>-74832.05</v>
      </c>
      <c r="J26" s="215">
        <f t="shared" si="3"/>
        <v>46.586688079942896</v>
      </c>
      <c r="K26" s="216">
        <f>F26-49589.53</f>
        <v>15678.419999999998</v>
      </c>
      <c r="L26" s="216">
        <f>F26/49589.53*100</f>
        <v>131.6163916052441</v>
      </c>
      <c r="M26" s="214">
        <f>E26-травень!E26</f>
        <v>12807.099999999999</v>
      </c>
      <c r="N26" s="217">
        <f>F26-травень!F26</f>
        <v>2788.0399999999936</v>
      </c>
      <c r="O26" s="218">
        <f t="shared" si="4"/>
        <v>-10019.060000000005</v>
      </c>
      <c r="P26" s="215">
        <f>N26/M26*100</f>
        <v>21.769487237547875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19892.64</v>
      </c>
      <c r="G27" s="241">
        <f t="shared" si="0"/>
        <v>462.8899999999994</v>
      </c>
      <c r="H27" s="242">
        <f t="shared" si="1"/>
        <v>102.38237753959778</v>
      </c>
      <c r="I27" s="243">
        <f t="shared" si="2"/>
        <v>-18164.36</v>
      </c>
      <c r="J27" s="243">
        <f t="shared" si="3"/>
        <v>52.27064666158656</v>
      </c>
      <c r="K27" s="244">
        <f>F27-12926</f>
        <v>6966.639999999999</v>
      </c>
      <c r="L27" s="244">
        <f>F27/12926*100</f>
        <v>153.89633297230387</v>
      </c>
      <c r="M27" s="239">
        <f>E27-12724.05</f>
        <v>6705.700000000001</v>
      </c>
      <c r="N27" s="239">
        <f>F27-15205.9</f>
        <v>4686.74</v>
      </c>
      <c r="O27" s="240">
        <f t="shared" si="4"/>
        <v>-2018.960000000001</v>
      </c>
      <c r="P27" s="240">
        <f>N27/M27*100</f>
        <v>69.89188302488927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45375.31</v>
      </c>
      <c r="G28" s="241">
        <f t="shared" si="0"/>
        <v>-4449.860000000001</v>
      </c>
      <c r="H28" s="242">
        <f t="shared" si="1"/>
        <v>91.0690520473889</v>
      </c>
      <c r="I28" s="243">
        <f t="shared" si="2"/>
        <v>35332.31</v>
      </c>
      <c r="J28" s="243">
        <f t="shared" si="3"/>
        <v>451.81031564273616</v>
      </c>
      <c r="K28" s="244">
        <f>F28-36663.53</f>
        <v>8711.779999999999</v>
      </c>
      <c r="L28" s="244">
        <f>F28/36663.53*100</f>
        <v>123.76143268255947</v>
      </c>
      <c r="M28" s="239">
        <f>E28-32053.77</f>
        <v>17771.399999999998</v>
      </c>
      <c r="N28" s="239">
        <f>F28-34030.56</f>
        <v>11344.75</v>
      </c>
      <c r="O28" s="240">
        <f t="shared" si="4"/>
        <v>-6426.649999999998</v>
      </c>
      <c r="P28" s="240">
        <f>N28/M28*100</f>
        <v>63.8371203169137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52.35</v>
      </c>
      <c r="G29" s="190">
        <f t="shared" si="0"/>
        <v>16.64</v>
      </c>
      <c r="H29" s="197">
        <f t="shared" si="1"/>
        <v>146.59759171100532</v>
      </c>
      <c r="I29" s="198">
        <f t="shared" si="2"/>
        <v>-24.65</v>
      </c>
      <c r="J29" s="198">
        <f t="shared" si="3"/>
        <v>67.98701298701299</v>
      </c>
      <c r="K29" s="198">
        <f>F29-37.42</f>
        <v>14.93</v>
      </c>
      <c r="L29" s="198">
        <f>F29/37.42*100</f>
        <v>139.89845002672368</v>
      </c>
      <c r="M29" s="197">
        <f>E29-травень!E29</f>
        <v>5.199999999999999</v>
      </c>
      <c r="N29" s="200">
        <f>F29-травень!F29</f>
        <v>1.2100000000000009</v>
      </c>
      <c r="O29" s="201">
        <f t="shared" si="4"/>
        <v>-3.9899999999999984</v>
      </c>
      <c r="P29" s="198">
        <f>N29/M29*100</f>
        <v>23.269230769230788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-121.37</v>
      </c>
      <c r="G30" s="190">
        <f t="shared" si="0"/>
        <v>-121.37</v>
      </c>
      <c r="H30" s="197"/>
      <c r="I30" s="198">
        <f t="shared" si="2"/>
        <v>-121.37</v>
      </c>
      <c r="J30" s="198"/>
      <c r="K30" s="198">
        <f>F30-(-403.36)</f>
        <v>281.99</v>
      </c>
      <c r="L30" s="198">
        <f>F30/(-403.36)*100</f>
        <v>30.08974613248711</v>
      </c>
      <c r="M30" s="197">
        <f>E30-травень!E30</f>
        <v>0</v>
      </c>
      <c r="N30" s="200">
        <f>F30-травень!F30</f>
        <v>-11.650000000000006</v>
      </c>
      <c r="O30" s="201">
        <f t="shared" si="4"/>
        <v>-11.650000000000006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71247.07</v>
      </c>
      <c r="G31" s="202">
        <f t="shared" si="0"/>
        <v>1205.0300000000134</v>
      </c>
      <c r="H31" s="204">
        <f t="shared" si="1"/>
        <v>101.72043818255439</v>
      </c>
      <c r="I31" s="205">
        <f t="shared" si="2"/>
        <v>-38215.92999999999</v>
      </c>
      <c r="J31" s="205">
        <f t="shared" si="3"/>
        <v>65.08781049304332</v>
      </c>
      <c r="K31" s="219">
        <f>F31-46052.97</f>
        <v>25194.100000000006</v>
      </c>
      <c r="L31" s="219">
        <f>F31/46052.97*100</f>
        <v>154.70678655469996</v>
      </c>
      <c r="M31" s="197">
        <f>E31-травень!E31</f>
        <v>3939.9999999999854</v>
      </c>
      <c r="N31" s="200">
        <f>F31-травень!F31</f>
        <v>2480.37000000001</v>
      </c>
      <c r="O31" s="207">
        <f t="shared" si="4"/>
        <v>-1459.6299999999756</v>
      </c>
      <c r="P31" s="205">
        <f>N31/M31*100</f>
        <v>62.95355329949287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18005.73</v>
      </c>
      <c r="G33" s="109">
        <f t="shared" si="0"/>
        <v>309.7599999999984</v>
      </c>
      <c r="H33" s="111">
        <f t="shared" si="1"/>
        <v>101.75045504710958</v>
      </c>
      <c r="I33" s="110">
        <f t="shared" si="2"/>
        <v>-9594.27</v>
      </c>
      <c r="J33" s="110">
        <f t="shared" si="3"/>
        <v>65.23815217391305</v>
      </c>
      <c r="K33" s="142">
        <f>F33-11423.16</f>
        <v>6582.57</v>
      </c>
      <c r="L33" s="142">
        <f>F33/11423.16*100</f>
        <v>157.62477282993495</v>
      </c>
      <c r="M33" s="111">
        <f>E33-травень!E33</f>
        <v>940</v>
      </c>
      <c r="N33" s="179">
        <f>F33-травень!F33</f>
        <v>453.66999999999825</v>
      </c>
      <c r="O33" s="112">
        <f t="shared" si="4"/>
        <v>-486.33000000000175</v>
      </c>
      <c r="P33" s="110">
        <f>N33/M33*100</f>
        <v>48.262765957446625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53227.15</v>
      </c>
      <c r="G34" s="109">
        <f t="shared" si="0"/>
        <v>891.0699999999997</v>
      </c>
      <c r="H34" s="111">
        <f t="shared" si="1"/>
        <v>101.70259216968485</v>
      </c>
      <c r="I34" s="110">
        <f t="shared" si="2"/>
        <v>-28584.85</v>
      </c>
      <c r="J34" s="110">
        <f t="shared" si="3"/>
        <v>65.06032122427028</v>
      </c>
      <c r="K34" s="142">
        <f>F34-34622.85</f>
        <v>18604.300000000003</v>
      </c>
      <c r="L34" s="142">
        <f>F34/34622.85*100</f>
        <v>153.73416688689696</v>
      </c>
      <c r="M34" s="111">
        <f>E34-травень!E34</f>
        <v>3000</v>
      </c>
      <c r="N34" s="179">
        <f>F34-травень!F34</f>
        <v>2026.6900000000023</v>
      </c>
      <c r="O34" s="112">
        <f t="shared" si="4"/>
        <v>-973.3099999999977</v>
      </c>
      <c r="P34" s="110">
        <f>N34/M34*100</f>
        <v>67.55633333333341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28471.05</v>
      </c>
      <c r="G37" s="191">
        <f>G38+G39+G40+G41+G42+G44+G46+G47+G48+G49+G50+G55+G56+G60</f>
        <v>6966.22</v>
      </c>
      <c r="H37" s="192">
        <f>F37/E37*100</f>
        <v>132.43562317105338</v>
      </c>
      <c r="I37" s="193">
        <f>F37-D37</f>
        <v>-14348.95</v>
      </c>
      <c r="J37" s="193">
        <f>F37/D37*100</f>
        <v>66.49007473143391</v>
      </c>
      <c r="K37" s="191">
        <f>F37-15873</f>
        <v>12598.05</v>
      </c>
      <c r="L37" s="191">
        <f>F37/15873*100</f>
        <v>179.36779436779435</v>
      </c>
      <c r="M37" s="191">
        <f>M38+M39+M40+M41+M42+M44+M46+M47+M48+M49+M50+M55+M56+M60</f>
        <v>3691.0000000000005</v>
      </c>
      <c r="N37" s="191">
        <f>N38+N39+N40+N41+N42+N44+N46+N47+N48+N49+N50+N55+N56+N60+N43</f>
        <v>5630.630000000001</v>
      </c>
      <c r="O37" s="191">
        <f>O38+O39+O40+O41+O42+O44+O46+O47+O48+O49+O50+O55+O56+O60</f>
        <v>1939.63</v>
      </c>
      <c r="P37" s="191">
        <f>N37/M37*100</f>
        <v>152.55025738282308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55.02</v>
      </c>
      <c r="G42" s="202">
        <f t="shared" si="9"/>
        <v>-4.979999999999997</v>
      </c>
      <c r="H42" s="204">
        <f t="shared" si="7"/>
        <v>91.7</v>
      </c>
      <c r="I42" s="205">
        <f t="shared" si="10"/>
        <v>-94.97999999999999</v>
      </c>
      <c r="J42" s="205">
        <f t="shared" si="12"/>
        <v>36.68</v>
      </c>
      <c r="K42" s="205">
        <f>F42-81.62</f>
        <v>-26.6</v>
      </c>
      <c r="L42" s="205">
        <f>F42/81.62*100</f>
        <v>67.40994854202401</v>
      </c>
      <c r="M42" s="204">
        <f>E42-травень!E42</f>
        <v>10</v>
      </c>
      <c r="N42" s="208">
        <f>F42-травень!F42</f>
        <v>4.6200000000000045</v>
      </c>
      <c r="O42" s="207">
        <f t="shared" si="11"/>
        <v>-5.3799999999999955</v>
      </c>
      <c r="P42" s="205">
        <f t="shared" si="8"/>
        <v>46.200000000000045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134.33</v>
      </c>
      <c r="G44" s="202">
        <f t="shared" si="9"/>
        <v>94.33000000000001</v>
      </c>
      <c r="H44" s="204">
        <f t="shared" si="7"/>
        <v>335.82500000000005</v>
      </c>
      <c r="I44" s="205">
        <f t="shared" si="10"/>
        <v>44.33000000000001</v>
      </c>
      <c r="J44" s="205">
        <f t="shared" si="12"/>
        <v>149.25555555555556</v>
      </c>
      <c r="K44" s="205">
        <f>F44-0</f>
        <v>134.33</v>
      </c>
      <c r="L44" s="205"/>
      <c r="M44" s="204">
        <f>E44-травень!E44</f>
        <v>8</v>
      </c>
      <c r="N44" s="208">
        <f>F44-травень!F44</f>
        <v>58.000000000000014</v>
      </c>
      <c r="O44" s="207">
        <f t="shared" si="11"/>
        <v>50.000000000000014</v>
      </c>
      <c r="P44" s="205">
        <f t="shared" si="8"/>
        <v>725.0000000000002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4594.53</v>
      </c>
      <c r="G46" s="202">
        <f t="shared" si="9"/>
        <v>55.50999999999931</v>
      </c>
      <c r="H46" s="204">
        <f t="shared" si="7"/>
        <v>101.22295120973249</v>
      </c>
      <c r="I46" s="205">
        <f t="shared" si="10"/>
        <v>-5305.47</v>
      </c>
      <c r="J46" s="205">
        <f t="shared" si="12"/>
        <v>46.40939393939394</v>
      </c>
      <c r="K46" s="205">
        <f>F46-4927.6</f>
        <v>-333.0700000000006</v>
      </c>
      <c r="L46" s="205">
        <f>F46/4927.6*100</f>
        <v>93.24072570825552</v>
      </c>
      <c r="M46" s="204">
        <f>E46-травень!E46</f>
        <v>800.0000000000005</v>
      </c>
      <c r="N46" s="208">
        <f>F46-травень!F46</f>
        <v>537.1199999999999</v>
      </c>
      <c r="O46" s="207">
        <f t="shared" si="11"/>
        <v>-262.88000000000056</v>
      </c>
      <c r="P46" s="205">
        <f t="shared" si="8"/>
        <v>67.13999999999994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56.99</v>
      </c>
      <c r="G47" s="202">
        <f t="shared" si="9"/>
        <v>-593.01</v>
      </c>
      <c r="H47" s="204">
        <f t="shared" si="7"/>
        <v>8.767692307692307</v>
      </c>
      <c r="I47" s="205">
        <f t="shared" si="10"/>
        <v>-1443.01</v>
      </c>
      <c r="J47" s="205">
        <f t="shared" si="12"/>
        <v>3.7993333333333337</v>
      </c>
      <c r="K47" s="205">
        <f>F47-0</f>
        <v>56.99</v>
      </c>
      <c r="L47" s="205"/>
      <c r="M47" s="204">
        <f>E47-травень!E47</f>
        <v>130</v>
      </c>
      <c r="N47" s="208">
        <f>F47-травень!F47</f>
        <v>23.060000000000002</v>
      </c>
      <c r="O47" s="207">
        <f t="shared" si="11"/>
        <v>-106.94</v>
      </c>
      <c r="P47" s="205">
        <f t="shared" si="8"/>
        <v>17.73846153846154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2902.8</v>
      </c>
      <c r="G50" s="202">
        <f t="shared" si="9"/>
        <v>-316.3899999999999</v>
      </c>
      <c r="H50" s="204">
        <f t="shared" si="7"/>
        <v>90.17175127904846</v>
      </c>
      <c r="I50" s="205">
        <f t="shared" si="10"/>
        <v>-4397.2</v>
      </c>
      <c r="J50" s="205">
        <f t="shared" si="12"/>
        <v>39.76438356164384</v>
      </c>
      <c r="K50" s="205">
        <f>F50-4033.24</f>
        <v>-1130.4399999999996</v>
      </c>
      <c r="L50" s="205">
        <f>F50/4033.24*100</f>
        <v>71.97191339964893</v>
      </c>
      <c r="M50" s="204">
        <f>E50-травень!E50</f>
        <v>666</v>
      </c>
      <c r="N50" s="208">
        <f>F50-травень!F50</f>
        <v>329.34000000000015</v>
      </c>
      <c r="O50" s="207">
        <f t="shared" si="11"/>
        <v>-336.65999999999985</v>
      </c>
      <c r="P50" s="205">
        <f t="shared" si="8"/>
        <v>49.450450450450475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405.14</v>
      </c>
      <c r="G51" s="36">
        <f t="shared" si="9"/>
        <v>-146.85000000000002</v>
      </c>
      <c r="H51" s="32">
        <f t="shared" si="7"/>
        <v>73.39625717857207</v>
      </c>
      <c r="I51" s="110">
        <f t="shared" si="10"/>
        <v>-694.86</v>
      </c>
      <c r="J51" s="110">
        <f t="shared" si="12"/>
        <v>36.83090909090909</v>
      </c>
      <c r="K51" s="110">
        <f>F51-582.74</f>
        <v>-177.60000000000002</v>
      </c>
      <c r="L51" s="110">
        <f>F51/582.74*100</f>
        <v>69.52328654288361</v>
      </c>
      <c r="M51" s="111">
        <f>E51-травень!E51</f>
        <v>185</v>
      </c>
      <c r="N51" s="179">
        <f>F51-травень!F51</f>
        <v>37.589999999999975</v>
      </c>
      <c r="O51" s="112">
        <f t="shared" si="11"/>
        <v>-147.41000000000003</v>
      </c>
      <c r="P51" s="132">
        <f t="shared" si="8"/>
        <v>20.318918918918904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2497.42</v>
      </c>
      <c r="G54" s="36">
        <f t="shared" si="9"/>
        <v>-164.75</v>
      </c>
      <c r="H54" s="32">
        <f t="shared" si="7"/>
        <v>93.81143953992421</v>
      </c>
      <c r="I54" s="110">
        <f t="shared" si="10"/>
        <v>-3656.58</v>
      </c>
      <c r="J54" s="110">
        <f t="shared" si="12"/>
        <v>40.58206044848879</v>
      </c>
      <c r="K54" s="110">
        <f>F54-3404.6</f>
        <v>-907.1799999999998</v>
      </c>
      <c r="L54" s="110">
        <f>F54/3404.6*100</f>
        <v>73.35428537860543</v>
      </c>
      <c r="M54" s="111">
        <f>E54-травень!E54</f>
        <v>480</v>
      </c>
      <c r="N54" s="179">
        <f>F54-травень!F54</f>
        <v>291.75</v>
      </c>
      <c r="O54" s="112">
        <f t="shared" si="11"/>
        <v>-188.25</v>
      </c>
      <c r="P54" s="132">
        <f t="shared" si="8"/>
        <v>60.78125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2576.61</v>
      </c>
      <c r="G56" s="202">
        <f t="shared" si="9"/>
        <v>308.6300000000001</v>
      </c>
      <c r="H56" s="204">
        <f t="shared" si="7"/>
        <v>113.60814469263399</v>
      </c>
      <c r="I56" s="205">
        <f t="shared" si="10"/>
        <v>-2223.39</v>
      </c>
      <c r="J56" s="205">
        <f t="shared" si="12"/>
        <v>53.67937500000001</v>
      </c>
      <c r="K56" s="205">
        <f>F56-2236.15</f>
        <v>340.46000000000004</v>
      </c>
      <c r="L56" s="205">
        <f>F56/2236.15*100</f>
        <v>115.22527558526932</v>
      </c>
      <c r="M56" s="204">
        <f>E56-травень!E56</f>
        <v>400</v>
      </c>
      <c r="N56" s="208">
        <f>F56-травень!F56</f>
        <v>256.5</v>
      </c>
      <c r="O56" s="207">
        <f t="shared" si="11"/>
        <v>-143.5</v>
      </c>
      <c r="P56" s="205">
        <f t="shared" si="8"/>
        <v>64.125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577.1</v>
      </c>
      <c r="G58" s="202"/>
      <c r="H58" s="204"/>
      <c r="I58" s="205"/>
      <c r="J58" s="205"/>
      <c r="K58" s="206">
        <f>F58-577.4</f>
        <v>-0.2999999999999545</v>
      </c>
      <c r="L58" s="206">
        <f>F58/577.4*100</f>
        <v>99.94804295116039</v>
      </c>
      <c r="M58" s="236"/>
      <c r="N58" s="220">
        <f>F58-травень!F58</f>
        <v>98.73000000000002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435389.94</v>
      </c>
      <c r="G63" s="191">
        <f>F63-E63</f>
        <v>-6356.069999999949</v>
      </c>
      <c r="H63" s="192">
        <f>F63/E63*100</f>
        <v>98.56114829424267</v>
      </c>
      <c r="I63" s="193">
        <f>F63-D63</f>
        <v>-448510.66</v>
      </c>
      <c r="J63" s="193">
        <f>F63/D63*100</f>
        <v>49.2577943719011</v>
      </c>
      <c r="K63" s="193">
        <f>F63-320998.67</f>
        <v>114391.27000000002</v>
      </c>
      <c r="L63" s="193">
        <f>F63/320998.67*100</f>
        <v>135.63605730827484</v>
      </c>
      <c r="M63" s="191">
        <f>M8+M37+M61+M62</f>
        <v>71492.59999999999</v>
      </c>
      <c r="N63" s="191">
        <f>N8+N37+N61+N62</f>
        <v>37540.65000000004</v>
      </c>
      <c r="O63" s="195">
        <f>N63-M63</f>
        <v>-33951.94999999995</v>
      </c>
      <c r="P63" s="193">
        <f>N63/M63*100</f>
        <v>52.509840179263364</v>
      </c>
      <c r="Q63" s="28">
        <f>N63-34768</f>
        <v>2772.650000000038</v>
      </c>
      <c r="R63" s="128">
        <f>N63/34768</f>
        <v>1.0797471813161539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</v>
      </c>
      <c r="G72" s="202">
        <f aca="true" t="shared" si="13" ref="G72:G82">F72-E72</f>
        <v>-371</v>
      </c>
      <c r="H72" s="204"/>
      <c r="I72" s="207">
        <f aca="true" t="shared" si="14" ref="I72:I82">F72-D72</f>
        <v>-3158</v>
      </c>
      <c r="J72" s="207">
        <f>F72/D72*100</f>
        <v>24.80952380952381</v>
      </c>
      <c r="K72" s="207">
        <f>F72-194</f>
        <v>848</v>
      </c>
      <c r="L72" s="207">
        <f>F72/194*100</f>
        <v>537.1134020618556</v>
      </c>
      <c r="M72" s="204">
        <f>E72-травень!E72</f>
        <v>500</v>
      </c>
      <c r="N72" s="208">
        <f>F72-травень!F72</f>
        <v>0.029999999999972715</v>
      </c>
      <c r="O72" s="207">
        <f aca="true" t="shared" si="15" ref="O72:O85">N72-M72</f>
        <v>-499.97</v>
      </c>
      <c r="P72" s="207">
        <f>N72/M72*100</f>
        <v>0.0059999999999945436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9113.79</v>
      </c>
      <c r="G74" s="202">
        <f t="shared" si="13"/>
        <v>7320.9400000000005</v>
      </c>
      <c r="H74" s="204">
        <f>F74/E74*100</f>
        <v>508.34090972474</v>
      </c>
      <c r="I74" s="207">
        <f t="shared" si="14"/>
        <v>3113.790000000001</v>
      </c>
      <c r="J74" s="207">
        <f>F74/D74*100</f>
        <v>151.8965</v>
      </c>
      <c r="K74" s="207">
        <f>F74-1818.42</f>
        <v>7295.370000000001</v>
      </c>
      <c r="L74" s="207">
        <f>F74/1818.42*100</f>
        <v>501.1927937440196</v>
      </c>
      <c r="M74" s="204">
        <f>E74-травень!E74</f>
        <v>302</v>
      </c>
      <c r="N74" s="208">
        <f>F74-травень!F74</f>
        <v>0.4000000000014552</v>
      </c>
      <c r="O74" s="207">
        <f t="shared" si="15"/>
        <v>-301.59999999999854</v>
      </c>
      <c r="P74" s="207">
        <f>N74/M74*100</f>
        <v>0.13245033112630966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11046.45</v>
      </c>
      <c r="G76" s="226">
        <f t="shared" si="13"/>
        <v>5600.890000000001</v>
      </c>
      <c r="H76" s="227">
        <f>F76/E76*100</f>
        <v>202.8524155458759</v>
      </c>
      <c r="I76" s="228">
        <f t="shared" si="14"/>
        <v>-6624.549999999999</v>
      </c>
      <c r="J76" s="228">
        <f>F76/D76*100</f>
        <v>62.51174240280686</v>
      </c>
      <c r="K76" s="228">
        <f>F76-5269.49</f>
        <v>5776.960000000001</v>
      </c>
      <c r="L76" s="228">
        <f>F76/5269.49*100</f>
        <v>209.6303437334543</v>
      </c>
      <c r="M76" s="226">
        <f>M72+M73+M74+M75</f>
        <v>1085.6000000000001</v>
      </c>
      <c r="N76" s="230">
        <f>N72+N73+N74+N75</f>
        <v>16.860000000001378</v>
      </c>
      <c r="O76" s="228">
        <f t="shared" si="15"/>
        <v>-1068.7399999999989</v>
      </c>
      <c r="P76" s="228">
        <f>N76/M76*100</f>
        <v>1.5530582166545115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4888.92</v>
      </c>
      <c r="G79" s="202">
        <f t="shared" si="13"/>
        <v>-228.3800000000001</v>
      </c>
      <c r="H79" s="204">
        <f>F79/E79*100</f>
        <v>95.53709964238955</v>
      </c>
      <c r="I79" s="207">
        <f t="shared" si="14"/>
        <v>-4611.08</v>
      </c>
      <c r="J79" s="207">
        <f>F79/D79*100</f>
        <v>51.46231578947369</v>
      </c>
      <c r="K79" s="207">
        <f>F79-0</f>
        <v>4888.92</v>
      </c>
      <c r="L79" s="207"/>
      <c r="M79" s="204">
        <f>E79-травень!E79</f>
        <v>0.3000000000001819</v>
      </c>
      <c r="N79" s="208">
        <f>F79-травень!F79</f>
        <v>1.1499999999996362</v>
      </c>
      <c r="O79" s="207">
        <f>N79-M79</f>
        <v>0.8499999999994543</v>
      </c>
      <c r="P79" s="231">
        <f>N79/M79*100</f>
        <v>383.33333333297963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4894.01</v>
      </c>
      <c r="G81" s="224">
        <f>G77+G80+G78+G79</f>
        <v>-223.2900000000001</v>
      </c>
      <c r="H81" s="227">
        <f>F81/E81*100</f>
        <v>95.63656615793485</v>
      </c>
      <c r="I81" s="228">
        <f t="shared" si="14"/>
        <v>-4606.99</v>
      </c>
      <c r="J81" s="228">
        <f>F81/D81*100</f>
        <v>51.51047258183349</v>
      </c>
      <c r="K81" s="228">
        <f>F81-1.06</f>
        <v>4892.95</v>
      </c>
      <c r="L81" s="228">
        <f>F81/1.06*100</f>
        <v>461699.0566037736</v>
      </c>
      <c r="M81" s="226">
        <f>M77+M80+M78+M79</f>
        <v>0.3000000000001819</v>
      </c>
      <c r="N81" s="230">
        <f>N77+N80+N78+N79</f>
        <v>1.1499999999996362</v>
      </c>
      <c r="O81" s="226">
        <f>O77+O80+O78+O79</f>
        <v>0.8499999999994543</v>
      </c>
      <c r="P81" s="228">
        <f>N81/M81*100</f>
        <v>383.33333333297963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10.3</v>
      </c>
      <c r="G82" s="202">
        <f t="shared" si="13"/>
        <v>-9.399999999999999</v>
      </c>
      <c r="H82" s="204">
        <f>F82/E82*100</f>
        <v>52.28426395939086</v>
      </c>
      <c r="I82" s="207">
        <f t="shared" si="14"/>
        <v>-32.7</v>
      </c>
      <c r="J82" s="207">
        <f>F82/D82*100</f>
        <v>23.953488372093023</v>
      </c>
      <c r="K82" s="207">
        <f>F82-19.94</f>
        <v>-9.64</v>
      </c>
      <c r="L82" s="207">
        <f>F82/19.94*100</f>
        <v>51.65496489468405</v>
      </c>
      <c r="M82" s="204">
        <f>E82-травень!E82</f>
        <v>5.899999999999999</v>
      </c>
      <c r="N82" s="208">
        <f>F82-травень!F82</f>
        <v>1.1100000000000012</v>
      </c>
      <c r="O82" s="207">
        <f t="shared" si="15"/>
        <v>-4.789999999999997</v>
      </c>
      <c r="P82" s="207">
        <f>N82/M82</f>
        <v>0.18813559322033924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15950.500000000002</v>
      </c>
      <c r="G84" s="233">
        <f>F84-E84</f>
        <v>5367.940000000002</v>
      </c>
      <c r="H84" s="234">
        <f>F84/E84*100</f>
        <v>150.72439938918373</v>
      </c>
      <c r="I84" s="235">
        <f>F84-D84</f>
        <v>-11264.499999999998</v>
      </c>
      <c r="J84" s="235">
        <f>F84/D84*100</f>
        <v>58.609222855043186</v>
      </c>
      <c r="K84" s="235">
        <f>F84-5259.67</f>
        <v>10690.830000000002</v>
      </c>
      <c r="L84" s="235">
        <f>F84/5259.67*100</f>
        <v>303.2604707139422</v>
      </c>
      <c r="M84" s="232">
        <f>M70+M82+M76+M81</f>
        <v>1091.8000000000004</v>
      </c>
      <c r="N84" s="232">
        <f>N70+N82+N76+N81+N83</f>
        <v>19.120000000001014</v>
      </c>
      <c r="O84" s="235">
        <f t="shared" si="15"/>
        <v>-1072.6799999999994</v>
      </c>
      <c r="P84" s="235">
        <f>N84/M84*100</f>
        <v>1.7512364901997626</v>
      </c>
      <c r="Q84" s="28">
        <f>N84-8104.96</f>
        <v>-8085.839999999999</v>
      </c>
      <c r="R84" s="101">
        <f>N84/8104.96</f>
        <v>0.002359049273531395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451340.44</v>
      </c>
      <c r="G85" s="233">
        <f>F85-E85</f>
        <v>-988.1299999999464</v>
      </c>
      <c r="H85" s="234">
        <f>F85/E85*100</f>
        <v>99.78154596779063</v>
      </c>
      <c r="I85" s="235">
        <f>F85-D85</f>
        <v>-459775.16</v>
      </c>
      <c r="J85" s="235">
        <f>F85/D85*100</f>
        <v>49.53712130491455</v>
      </c>
      <c r="K85" s="235">
        <f>F85-320998.67-5259.67</f>
        <v>125082.10000000002</v>
      </c>
      <c r="L85" s="235">
        <f>F85/(265734.15+4325.48)*100</f>
        <v>167.12621579167535</v>
      </c>
      <c r="M85" s="233">
        <f>M63+M84</f>
        <v>72584.4</v>
      </c>
      <c r="N85" s="233">
        <f>N63+N84</f>
        <v>37559.77000000004</v>
      </c>
      <c r="O85" s="235">
        <f t="shared" si="15"/>
        <v>-35024.629999999954</v>
      </c>
      <c r="P85" s="235">
        <f>N85/M85*100</f>
        <v>51.74633943381779</v>
      </c>
      <c r="Q85" s="28">
        <f>N85-42872.96</f>
        <v>-5313.189999999959</v>
      </c>
      <c r="R85" s="101">
        <f>N85/42872.96</f>
        <v>0.8760713046171769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7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4850.278571428565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42537</v>
      </c>
      <c r="D89" s="31">
        <v>4085.6</v>
      </c>
      <c r="G89" s="4" t="s">
        <v>59</v>
      </c>
      <c r="N89" s="274"/>
      <c r="O89" s="274"/>
    </row>
    <row r="90" spans="3:15" ht="15">
      <c r="C90" s="87">
        <v>42536</v>
      </c>
      <c r="D90" s="31">
        <v>6466.3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42535</v>
      </c>
      <c r="D91" s="31">
        <v>2092.96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1654.13374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 hidden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199.86</v>
      </c>
      <c r="G96" s="73">
        <f>G44+G47+G48</f>
        <v>-510.13999999999993</v>
      </c>
      <c r="H96" s="74"/>
      <c r="I96" s="74"/>
      <c r="M96" s="31">
        <f>M44+M47+M48</f>
        <v>142</v>
      </c>
      <c r="N96" s="246">
        <f>N44+N47+N48</f>
        <v>81.88000000000001</v>
      </c>
      <c r="O96" s="31">
        <f>O44+O47+O48</f>
        <v>-60.11999999999998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30" sqref="D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162</v>
      </c>
      <c r="N3" s="261" t="s">
        <v>163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158</v>
      </c>
      <c r="F4" s="285" t="s">
        <v>34</v>
      </c>
      <c r="G4" s="266" t="s">
        <v>159</v>
      </c>
      <c r="H4" s="259" t="s">
        <v>160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169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161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74"/>
      <c r="O89" s="274"/>
    </row>
    <row r="90" spans="3:15" ht="15">
      <c r="C90" s="87">
        <v>42520</v>
      </c>
      <c r="D90" s="31">
        <v>8891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42517</v>
      </c>
      <c r="D91" s="31">
        <v>7356.3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2811.04042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153</v>
      </c>
      <c r="N3" s="261" t="s">
        <v>154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150</v>
      </c>
      <c r="F4" s="285" t="s">
        <v>34</v>
      </c>
      <c r="G4" s="266" t="s">
        <v>151</v>
      </c>
      <c r="H4" s="259" t="s">
        <v>152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157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155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3"/>
      <c r="H84" s="273"/>
      <c r="I84" s="273"/>
      <c r="J84" s="27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74"/>
      <c r="O85" s="274"/>
    </row>
    <row r="86" spans="3:15" ht="15">
      <c r="C86" s="87">
        <v>42488</v>
      </c>
      <c r="D86" s="31">
        <v>11419.7</v>
      </c>
      <c r="F86" s="124" t="s">
        <v>59</v>
      </c>
      <c r="G86" s="275"/>
      <c r="H86" s="275"/>
      <c r="I86" s="131"/>
      <c r="J86" s="276"/>
      <c r="K86" s="276"/>
      <c r="L86" s="276"/>
      <c r="M86" s="276"/>
      <c r="N86" s="274"/>
      <c r="O86" s="274"/>
    </row>
    <row r="87" spans="3:15" ht="15.75" customHeight="1">
      <c r="C87" s="87">
        <v>42487</v>
      </c>
      <c r="D87" s="31">
        <v>7800.7</v>
      </c>
      <c r="F87" s="73"/>
      <c r="G87" s="275"/>
      <c r="H87" s="275"/>
      <c r="I87" s="131"/>
      <c r="J87" s="277"/>
      <c r="K87" s="277"/>
      <c r="L87" s="277"/>
      <c r="M87" s="277"/>
      <c r="N87" s="274"/>
      <c r="O87" s="274"/>
    </row>
    <row r="88" spans="3:13" ht="15.75" customHeight="1">
      <c r="C88" s="87"/>
      <c r="F88" s="73"/>
      <c r="G88" s="281"/>
      <c r="H88" s="281"/>
      <c r="I88" s="139"/>
      <c r="J88" s="276"/>
      <c r="K88" s="276"/>
      <c r="L88" s="276"/>
      <c r="M88" s="276"/>
    </row>
    <row r="89" spans="2:13" ht="18.75" customHeight="1">
      <c r="B89" s="282" t="s">
        <v>57</v>
      </c>
      <c r="C89" s="283"/>
      <c r="D89" s="148">
        <v>9087.9705</v>
      </c>
      <c r="E89" s="74"/>
      <c r="F89" s="140" t="s">
        <v>137</v>
      </c>
      <c r="G89" s="275"/>
      <c r="H89" s="275"/>
      <c r="I89" s="141"/>
      <c r="J89" s="276"/>
      <c r="K89" s="276"/>
      <c r="L89" s="276"/>
      <c r="M89" s="276"/>
    </row>
    <row r="90" spans="6:12" ht="9.75" customHeight="1">
      <c r="F90" s="73"/>
      <c r="G90" s="275"/>
      <c r="H90" s="275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75"/>
      <c r="H91" s="27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75"/>
      <c r="O92" s="275"/>
    </row>
    <row r="93" spans="4:15" ht="15">
      <c r="D93" s="83"/>
      <c r="I93" s="31"/>
      <c r="N93" s="280"/>
      <c r="O93" s="280"/>
    </row>
    <row r="94" spans="14:15" ht="15">
      <c r="N94" s="275"/>
      <c r="O94" s="275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147</v>
      </c>
      <c r="N3" s="261" t="s">
        <v>143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146</v>
      </c>
      <c r="F4" s="285" t="s">
        <v>34</v>
      </c>
      <c r="G4" s="266" t="s">
        <v>141</v>
      </c>
      <c r="H4" s="259" t="s">
        <v>142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144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74"/>
      <c r="O84" s="274"/>
    </row>
    <row r="85" spans="3:15" ht="15">
      <c r="C85" s="87">
        <v>42459</v>
      </c>
      <c r="D85" s="31">
        <v>7576.3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42458</v>
      </c>
      <c r="D86" s="31">
        <v>9190.1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f>4343.7</f>
        <v>4343.7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128</v>
      </c>
      <c r="N3" s="261" t="s">
        <v>119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127</v>
      </c>
      <c r="F4" s="285" t="s">
        <v>34</v>
      </c>
      <c r="G4" s="266" t="s">
        <v>116</v>
      </c>
      <c r="H4" s="259" t="s">
        <v>117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140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118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74"/>
      <c r="O84" s="274"/>
    </row>
    <row r="85" spans="3:15" ht="15">
      <c r="C85" s="87">
        <v>42426</v>
      </c>
      <c r="D85" s="31">
        <v>6256.2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42425</v>
      </c>
      <c r="D86" s="31">
        <v>3536.9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505.3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135</v>
      </c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132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129</v>
      </c>
      <c r="F4" s="285" t="s">
        <v>34</v>
      </c>
      <c r="G4" s="266" t="s">
        <v>130</v>
      </c>
      <c r="H4" s="259" t="s">
        <v>131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88" t="s">
        <v>133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134</v>
      </c>
      <c r="L5" s="272"/>
      <c r="M5" s="260"/>
      <c r="N5" s="28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74"/>
      <c r="O84" s="274"/>
    </row>
    <row r="85" spans="3:15" ht="15">
      <c r="C85" s="87">
        <v>42397</v>
      </c>
      <c r="D85" s="31">
        <v>8685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42396</v>
      </c>
      <c r="D86" s="31">
        <v>4820.3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300.92</v>
      </c>
      <c r="E88" s="74"/>
      <c r="F88" s="140"/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136</v>
      </c>
      <c r="C3" s="253" t="s">
        <v>0</v>
      </c>
      <c r="D3" s="254" t="s">
        <v>115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107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104</v>
      </c>
      <c r="F4" s="290" t="s">
        <v>34</v>
      </c>
      <c r="G4" s="266" t="s">
        <v>109</v>
      </c>
      <c r="H4" s="259" t="s">
        <v>110</v>
      </c>
      <c r="I4" s="266" t="s">
        <v>105</v>
      </c>
      <c r="J4" s="259" t="s">
        <v>106</v>
      </c>
      <c r="K4" s="91" t="s">
        <v>65</v>
      </c>
      <c r="L4" s="96" t="s">
        <v>64</v>
      </c>
      <c r="M4" s="259"/>
      <c r="N4" s="288" t="s">
        <v>103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6.5" customHeight="1">
      <c r="A5" s="251"/>
      <c r="B5" s="252"/>
      <c r="C5" s="253"/>
      <c r="D5" s="254"/>
      <c r="E5" s="263"/>
      <c r="F5" s="291"/>
      <c r="G5" s="267"/>
      <c r="H5" s="260"/>
      <c r="I5" s="267"/>
      <c r="J5" s="260"/>
      <c r="K5" s="271" t="s">
        <v>108</v>
      </c>
      <c r="L5" s="272"/>
      <c r="M5" s="260"/>
      <c r="N5" s="289"/>
      <c r="O5" s="267"/>
      <c r="P5" s="270"/>
      <c r="Q5" s="271" t="s">
        <v>126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3"/>
      <c r="H82" s="273"/>
      <c r="I82" s="273"/>
      <c r="J82" s="27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74"/>
      <c r="O83" s="274"/>
    </row>
    <row r="84" spans="3:15" ht="15">
      <c r="C84" s="87">
        <v>42397</v>
      </c>
      <c r="D84" s="31">
        <v>8685</v>
      </c>
      <c r="F84" s="166" t="s">
        <v>59</v>
      </c>
      <c r="G84" s="275"/>
      <c r="H84" s="275"/>
      <c r="I84" s="131"/>
      <c r="J84" s="276"/>
      <c r="K84" s="276"/>
      <c r="L84" s="276"/>
      <c r="M84" s="276"/>
      <c r="N84" s="274"/>
      <c r="O84" s="274"/>
    </row>
    <row r="85" spans="3:15" ht="15.75" customHeight="1">
      <c r="C85" s="87">
        <v>42396</v>
      </c>
      <c r="D85" s="31">
        <v>4820.3</v>
      </c>
      <c r="F85" s="167"/>
      <c r="G85" s="275"/>
      <c r="H85" s="275"/>
      <c r="I85" s="131"/>
      <c r="J85" s="277"/>
      <c r="K85" s="277"/>
      <c r="L85" s="277"/>
      <c r="M85" s="277"/>
      <c r="N85" s="274"/>
      <c r="O85" s="274"/>
    </row>
    <row r="86" spans="3:13" ht="15.75" customHeight="1">
      <c r="C86" s="87"/>
      <c r="F86" s="167"/>
      <c r="G86" s="281"/>
      <c r="H86" s="281"/>
      <c r="I86" s="139"/>
      <c r="J86" s="276"/>
      <c r="K86" s="276"/>
      <c r="L86" s="276"/>
      <c r="M86" s="276"/>
    </row>
    <row r="87" spans="2:13" ht="18.75" customHeight="1">
      <c r="B87" s="282" t="s">
        <v>57</v>
      </c>
      <c r="C87" s="283"/>
      <c r="D87" s="148">
        <v>300.92</v>
      </c>
      <c r="E87" s="74"/>
      <c r="F87" s="168"/>
      <c r="G87" s="275"/>
      <c r="H87" s="275"/>
      <c r="I87" s="141"/>
      <c r="J87" s="276"/>
      <c r="K87" s="276"/>
      <c r="L87" s="276"/>
      <c r="M87" s="276"/>
    </row>
    <row r="88" spans="6:12" ht="9.75" customHeight="1">
      <c r="F88" s="167"/>
      <c r="G88" s="275"/>
      <c r="H88" s="275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75"/>
      <c r="H89" s="27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75"/>
      <c r="O90" s="275"/>
    </row>
    <row r="91" spans="4:15" ht="15">
      <c r="D91" s="83"/>
      <c r="I91" s="31"/>
      <c r="N91" s="280"/>
      <c r="O91" s="280"/>
    </row>
    <row r="92" spans="14:15" ht="15">
      <c r="N92" s="275"/>
      <c r="O92" s="275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2016-06-17T07:54:46Z</cp:lastPrinted>
  <dcterms:created xsi:type="dcterms:W3CDTF">2003-07-28T11:27:56Z</dcterms:created>
  <dcterms:modified xsi:type="dcterms:W3CDTF">2016-06-17T08:07:45Z</dcterms:modified>
  <cp:category/>
  <cp:version/>
  <cp:contentType/>
  <cp:contentStatus/>
</cp:coreProperties>
</file>